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soud.tabatabaee\Desktop\"/>
    </mc:Choice>
  </mc:AlternateContent>
  <xr:revisionPtr revIDLastSave="0" documentId="8_{2A079AFF-6C2F-44F0-8798-2F23A7369343}" xr6:coauthVersionLast="36" xr6:coauthVersionMax="36" xr10:uidLastSave="{00000000-0000-0000-0000-000000000000}"/>
  <bookViews>
    <workbookView xWindow="-120" yWindow="-120" windowWidth="29040" windowHeight="15840" xr2:uid="{D55C5DE5-F93F-4814-8488-FDF92B2FB378}"/>
  </bookViews>
  <sheets>
    <sheet name="Sheet1" sheetId="1" r:id="rId1"/>
    <sheet name="Sheet2" sheetId="2" r:id="rId2"/>
  </sheets>
  <definedNames>
    <definedName name="_xlnm.Print_Area" localSheetId="0">Sheet1!$D$1:$J$33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" i="2" l="1"/>
  <c r="Y2" i="2"/>
  <c r="N3" i="2"/>
  <c r="O3" i="2"/>
  <c r="P3" i="2"/>
  <c r="Q3" i="2"/>
  <c r="R3" i="2"/>
  <c r="S3" i="2"/>
  <c r="T3" i="2"/>
  <c r="U3" i="2"/>
  <c r="X3" i="2"/>
  <c r="X2" i="2"/>
  <c r="U2" i="2"/>
  <c r="T2" i="2"/>
  <c r="S2" i="2"/>
  <c r="R2" i="2"/>
  <c r="Q2" i="2"/>
  <c r="P2" i="2"/>
  <c r="O2" i="2"/>
  <c r="N2" i="2"/>
  <c r="G12" i="1"/>
  <c r="H9" i="1" a="1"/>
  <c r="H9" i="1" s="1"/>
  <c r="G21" i="1" s="1"/>
  <c r="H8" i="1" a="1"/>
  <c r="H8" i="1" s="1"/>
  <c r="G20" i="1" s="1"/>
  <c r="H7" i="1" a="1"/>
  <c r="H7" i="1" s="1"/>
  <c r="G19" i="1" s="1"/>
  <c r="F10" i="1" a="1"/>
  <c r="F10" i="1" s="1"/>
  <c r="H10" i="1" s="1" a="1"/>
  <c r="H10" i="1" s="1"/>
  <c r="G22" i="1" s="1"/>
  <c r="F9" i="1" a="1"/>
  <c r="F9" i="1" s="1"/>
  <c r="F8" i="1" a="1"/>
  <c r="F8" i="1" s="1"/>
  <c r="F7" i="1" a="1"/>
  <c r="F7" i="1" s="1"/>
  <c r="F6" i="1" a="1"/>
  <c r="F6" i="1" s="1"/>
  <c r="F5" i="1" a="1"/>
  <c r="F5" i="1" s="1"/>
  <c r="F4" i="1" a="1"/>
  <c r="F4" i="1" s="1"/>
  <c r="F3" i="1" a="1"/>
  <c r="F3" i="1" s="1"/>
  <c r="H3" i="1" s="1" a="1"/>
  <c r="H3" i="1" s="1"/>
  <c r="E32" i="1"/>
  <c r="E25" i="1"/>
  <c r="L1" i="1"/>
  <c r="W3" i="2" l="1"/>
  <c r="Z3" i="2" s="1"/>
  <c r="V3" i="2"/>
  <c r="V2" i="2"/>
  <c r="W2" i="2"/>
  <c r="Z2" i="2" s="1"/>
  <c r="H6" i="1" a="1"/>
  <c r="H6" i="1" s="1"/>
  <c r="G18" i="1" s="1"/>
  <c r="J3" i="1" a="1"/>
  <c r="J3" i="1" s="1"/>
  <c r="I28" i="1" s="1"/>
  <c r="H4" i="1" a="1"/>
  <c r="H4" i="1" s="1"/>
  <c r="G16" i="1" s="1"/>
  <c r="H5" i="1" a="1"/>
  <c r="H5" i="1" s="1"/>
  <c r="G17" i="1" s="1"/>
  <c r="F11" i="1"/>
  <c r="G15" i="1"/>
  <c r="AA2" i="2" l="1"/>
  <c r="AB2" i="2"/>
  <c r="AA3" i="2"/>
  <c r="AB3" i="2"/>
  <c r="I26" i="1"/>
  <c r="G24" i="1"/>
  <c r="G23" i="1"/>
  <c r="J5" i="1"/>
  <c r="H11" i="1"/>
  <c r="J4" i="1" s="1"/>
  <c r="G29" i="1" l="1"/>
  <c r="J11" i="1" l="1"/>
  <c r="I12" i="1" s="1"/>
  <c r="I27" i="1"/>
  <c r="I25" i="1" l="1"/>
  <c r="Q4" i="1"/>
  <c r="R3" i="1"/>
  <c r="S3" i="1" s="1"/>
  <c r="T3" i="1" s="1"/>
  <c r="S4" i="1" l="1"/>
  <c r="T4" i="1" s="1"/>
  <c r="I33" i="1"/>
  <c r="I29" i="1"/>
  <c r="G32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<sst xmlns="http://schemas.openxmlformats.org/spreadsheetml/2006/main" count="130" uniqueCount="76">
  <si>
    <t>تعداد روز کارکرد</t>
  </si>
  <si>
    <t>تعداد ساعت اضافه کاری</t>
  </si>
  <si>
    <t>ساعت کارکرد روزانه</t>
  </si>
  <si>
    <t>تعداد ساعت کسری کار</t>
  </si>
  <si>
    <t>تعداد ساعت تعطیل کاری</t>
  </si>
  <si>
    <t>حق مسکن</t>
  </si>
  <si>
    <t>وضعیت تاهل</t>
  </si>
  <si>
    <t>نفر اول</t>
  </si>
  <si>
    <t>مجرد</t>
  </si>
  <si>
    <t>متاهل</t>
  </si>
  <si>
    <t>حقوق پایه</t>
  </si>
  <si>
    <t>اضافه کاری</t>
  </si>
  <si>
    <t>تعطیل کاری</t>
  </si>
  <si>
    <t>کسری کار</t>
  </si>
  <si>
    <t>مالیات حقوق</t>
  </si>
  <si>
    <t>توضیحات</t>
  </si>
  <si>
    <t>مزایا</t>
  </si>
  <si>
    <t>کسورات</t>
  </si>
  <si>
    <t>نفر دوم</t>
  </si>
  <si>
    <t>جمع مزایا</t>
  </si>
  <si>
    <t>جمع کسورات</t>
  </si>
  <si>
    <t>نام پرسنل:</t>
  </si>
  <si>
    <t>حقوق پایه روزانه</t>
  </si>
  <si>
    <t>حق تاهل</t>
  </si>
  <si>
    <t>حق اولاد</t>
  </si>
  <si>
    <t>تعداد فرزندان</t>
  </si>
  <si>
    <t>بن خواربار</t>
  </si>
  <si>
    <t>تعداد ساعت جمعه کاری</t>
  </si>
  <si>
    <t>فیش حقوقی شرکت ******</t>
  </si>
  <si>
    <t>جمعه کاری</t>
  </si>
  <si>
    <t>بازه</t>
  </si>
  <si>
    <t>درصد</t>
  </si>
  <si>
    <t>مبلغ معیار</t>
  </si>
  <si>
    <t>مشمول بیمه</t>
  </si>
  <si>
    <t>حق بیمه کارمند</t>
  </si>
  <si>
    <t>فیش حقوقی کارمند</t>
  </si>
  <si>
    <t>عنوان</t>
  </si>
  <si>
    <t>بدهکار</t>
  </si>
  <si>
    <t>بستانکار</t>
  </si>
  <si>
    <t>هزینه حقوق پایه</t>
  </si>
  <si>
    <t>هزینه اضافه کاری</t>
  </si>
  <si>
    <t>هزینه تعطیل کاری</t>
  </si>
  <si>
    <t>هزینه جمعه کاری</t>
  </si>
  <si>
    <t>هزینه بن خواروبار</t>
  </si>
  <si>
    <t>هزینه حق مسکن</t>
  </si>
  <si>
    <t>هزینه حق تاهل</t>
  </si>
  <si>
    <t>هزینه حق اولاد</t>
  </si>
  <si>
    <t>20% بیمه سهم کارفرما</t>
  </si>
  <si>
    <t>3% بیمه بیکاری</t>
  </si>
  <si>
    <t>بیمه تامین اجتماعی</t>
  </si>
  <si>
    <t>سایر درآمدهای (غیر عملیاتی)*</t>
  </si>
  <si>
    <t>سند فیش حقوقی</t>
  </si>
  <si>
    <t>تاریخ</t>
  </si>
  <si>
    <t>شرح</t>
  </si>
  <si>
    <t>مانده</t>
  </si>
  <si>
    <t>موجودی نقد و بانک</t>
  </si>
  <si>
    <t>سند پرداخت</t>
  </si>
  <si>
    <t>1403/11/30</t>
  </si>
  <si>
    <t>حقوق دستمزد بهمن</t>
  </si>
  <si>
    <t>پرداختی حقوق و دستمزد</t>
  </si>
  <si>
    <t>ماهیت</t>
  </si>
  <si>
    <t>تعداد ساعت کسری کاری</t>
  </si>
  <si>
    <t>بن خوار و بار</t>
  </si>
  <si>
    <t>ساعت کارکرد روز</t>
  </si>
  <si>
    <t>کسری کاری</t>
  </si>
  <si>
    <t>بن خوار بار</t>
  </si>
  <si>
    <t>1 تا 240،000،000</t>
  </si>
  <si>
    <t>240،000،001 تا 300،000،00</t>
  </si>
  <si>
    <t>300،000،001 تا 380،000،00</t>
  </si>
  <si>
    <t>380،000،001 تا 500،000،00</t>
  </si>
  <si>
    <t>500،000،001 تا 660،000،00</t>
  </si>
  <si>
    <t>بیش از 660،000،000</t>
  </si>
  <si>
    <t>وضعیت مالیات 1404</t>
  </si>
  <si>
    <t>خالص دریافتی</t>
  </si>
  <si>
    <t>www.parmisIT.com</t>
  </si>
  <si>
    <t>021-87758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</si>
</sst>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[$ريال-429]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IRANSansFaNum Light"/>
      <family val="2"/>
    </font>
    <font>
      <sz val="11"/>
      <color theme="1"/>
      <name val="IRANSansFaNum Black"/>
      <family val="2"/>
    </font>
    <font>
      <sz val="20"/>
      <color theme="1"/>
      <name val="IRANSansFaNum Black"/>
      <family val="2"/>
    </font>
    <font>
      <u/>
      <sz val="11"/>
      <color theme="10"/>
      <name val="Aptos Narrow"/>
      <family val="2"/>
      <scheme val="minor"/>
    </font>
    <font>
      <u/>
      <sz val="20"/>
      <color theme="10"/>
      <name val="Aptos Narrow"/>
      <family val="2"/>
      <scheme val="minor"/>
    </font>
    <font>
      <sz val="20"/>
      <color theme="1"/>
      <name val="IRANSansFaNum Light"/>
      <family val="2"/>
    </font>
    <font>
      <b/>
      <sz val="20"/>
      <color rgb="FF7030A0"/>
      <name val="IRANSansFaNum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13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Protection="1">
      <protection locked="0"/>
    </xf>
    <xf numFmtId="164" fontId="2" fillId="0" borderId="2" xfId="0" applyNumberFormat="1" applyFont="1" applyBorder="1" applyProtection="1">
      <protection locked="0"/>
    </xf>
    <xf numFmtId="0" fontId="2" fillId="0" borderId="2" xfId="0" applyFont="1" applyBorder="1" applyProtection="1">
      <protection locked="0"/>
    </xf>
    <xf numFmtId="9" fontId="2" fillId="0" borderId="0" xfId="1" applyFont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readingOrder="2"/>
      <protection locked="0"/>
    </xf>
    <xf numFmtId="0" fontId="2" fillId="0" borderId="12" xfId="0" applyFont="1" applyBorder="1" applyAlignment="1">
      <alignment horizontal="left"/>
    </xf>
    <xf numFmtId="0" fontId="2" fillId="0" borderId="14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 applyAlignment="1">
      <alignment horizontal="center" vertical="center"/>
    </xf>
    <xf numFmtId="0" fontId="2" fillId="0" borderId="4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164" fontId="2" fillId="0" borderId="9" xfId="0" applyNumberFormat="1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6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0" borderId="8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readingOrder="2"/>
    </xf>
    <xf numFmtId="9" fontId="2" fillId="0" borderId="1" xfId="1" applyFont="1" applyBorder="1" applyProtection="1"/>
    <xf numFmtId="164" fontId="2" fillId="0" borderId="2" xfId="0" applyNumberFormat="1" applyFont="1" applyBorder="1"/>
    <xf numFmtId="0" fontId="2" fillId="0" borderId="1" xfId="0" applyFont="1" applyBorder="1" applyAlignment="1" applyProtection="1">
      <alignment readingOrder="2"/>
      <protection locked="0"/>
    </xf>
    <xf numFmtId="9" fontId="2" fillId="0" borderId="1" xfId="1" applyFont="1" applyBorder="1" applyProtection="1">
      <protection locked="0"/>
    </xf>
    <xf numFmtId="164" fontId="2" fillId="0" borderId="0" xfId="0" applyNumberFormat="1" applyFont="1"/>
    <xf numFmtId="0" fontId="3" fillId="0" borderId="21" xfId="0" applyFont="1" applyBorder="1" applyAlignment="1">
      <alignment horizontal="center" textRotation="90"/>
    </xf>
    <xf numFmtId="0" fontId="3" fillId="0" borderId="7" xfId="0" applyFont="1" applyBorder="1" applyAlignment="1">
      <alignment horizontal="center" textRotation="90"/>
    </xf>
    <xf numFmtId="0" fontId="3" fillId="0" borderId="15" xfId="0" applyFont="1" applyBorder="1" applyAlignment="1">
      <alignment horizontal="center" textRotation="9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readingOrder="2"/>
    </xf>
    <xf numFmtId="0" fontId="2" fillId="0" borderId="1" xfId="0" applyFont="1" applyBorder="1" applyAlignment="1">
      <alignment horizontal="center" readingOrder="2"/>
    </xf>
    <xf numFmtId="0" fontId="4" fillId="0" borderId="17" xfId="0" applyFont="1" applyBorder="1" applyAlignment="1">
      <alignment horizontal="center" vertical="center" textRotation="90"/>
    </xf>
    <xf numFmtId="0" fontId="4" fillId="0" borderId="18" xfId="0" applyFont="1" applyBorder="1" applyAlignment="1">
      <alignment horizontal="center" vertical="center" textRotation="90"/>
    </xf>
    <xf numFmtId="0" fontId="4" fillId="0" borderId="19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6" fillId="4" borderId="0" xfId="2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22411</xdr:colOff>
      <xdr:row>8</xdr:row>
      <xdr:rowOff>33618</xdr:rowOff>
    </xdr:from>
    <xdr:to>
      <xdr:col>14</xdr:col>
      <xdr:colOff>680756</xdr:colOff>
      <xdr:row>11</xdr:row>
      <xdr:rowOff>8778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3FB263E0-BB95-450B-B399-A7C7057BF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375082774" y="2017059"/>
          <a:ext cx="2047874" cy="714748"/>
        </a:xfrm>
        <a:prstGeom prst="rect">
          <a:avLst/>
        </a:prstGeom>
      </xdr:spPr>
    </xdr:pic>
    <xdr:clientData/>
  </xdr:twoCellAnchor>
  <xdr:twoCellAnchor editAs="oneCell">
    <xdr:from>
      <xdr:col>15</xdr:col>
      <xdr:colOff>275729</xdr:colOff>
      <xdr:row>12</xdr:row>
      <xdr:rowOff>142875</xdr:rowOff>
    </xdr:from>
    <xdr:to>
      <xdr:col>15</xdr:col>
      <xdr:colOff>508999</xdr:colOff>
      <xdr:row>13</xdr:row>
      <xdr:rowOff>114301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0F60691-4648-4222-9AD5-E587B06C1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12068910" y="3121602"/>
          <a:ext cx="233270" cy="226869"/>
        </a:xfrm>
        <a:prstGeom prst="rect">
          <a:avLst/>
        </a:prstGeom>
      </xdr:spPr>
    </xdr:pic>
    <xdr:clientData/>
  </xdr:twoCellAnchor>
  <xdr:twoCellAnchor editAs="oneCell">
    <xdr:from>
      <xdr:col>15</xdr:col>
      <xdr:colOff>229708</xdr:colOff>
      <xdr:row>14</xdr:row>
      <xdr:rowOff>86590</xdr:rowOff>
    </xdr:from>
    <xdr:to>
      <xdr:col>15</xdr:col>
      <xdr:colOff>538654</xdr:colOff>
      <xdr:row>15</xdr:row>
      <xdr:rowOff>142423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304E7B0-EA78-447F-9CEE-5DE74BCCF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12039255" y="3567545"/>
          <a:ext cx="308946" cy="3026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rmisit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75130-AE4A-441F-B161-8F783BC02604}">
  <dimension ref="A1:T33"/>
  <sheetViews>
    <sheetView rightToLeft="1" tabSelected="1" topLeftCell="B1" zoomScale="85" zoomScaleNormal="85" workbookViewId="0">
      <selection activeCell="N20" sqref="N20"/>
    </sheetView>
  </sheetViews>
  <sheetFormatPr defaultColWidth="9.125" defaultRowHeight="19.5"/>
  <cols>
    <col min="1" max="1" width="23" style="2" bestFit="1" customWidth="1"/>
    <col min="2" max="3" width="15.625" style="2" bestFit="1" customWidth="1"/>
    <col min="4" max="4" width="9.125" style="12"/>
    <col min="5" max="5" width="22.125" style="12" bestFit="1" customWidth="1"/>
    <col min="6" max="6" width="14.125" style="12" bestFit="1" customWidth="1"/>
    <col min="7" max="7" width="11.625" style="12" bestFit="1" customWidth="1"/>
    <col min="8" max="8" width="23" style="12" customWidth="1"/>
    <col min="9" max="9" width="14.75" style="12" bestFit="1" customWidth="1"/>
    <col min="10" max="10" width="21.75" style="12" bestFit="1" customWidth="1"/>
    <col min="11" max="16" width="9.125" style="12"/>
    <col min="17" max="17" width="17.625" style="12" customWidth="1"/>
    <col min="18" max="18" width="17.875" style="12" customWidth="1"/>
    <col min="19" max="19" width="24.125" style="12" customWidth="1"/>
    <col min="20" max="20" width="9.125" style="22"/>
    <col min="21" max="16384" width="9.125" style="2"/>
  </cols>
  <sheetData>
    <row r="1" spans="1:20">
      <c r="A1" s="3"/>
      <c r="B1" s="3" t="s">
        <v>7</v>
      </c>
      <c r="C1" s="6" t="s">
        <v>18</v>
      </c>
      <c r="D1" s="54" t="s">
        <v>35</v>
      </c>
      <c r="E1" s="38" t="s">
        <v>28</v>
      </c>
      <c r="F1" s="39"/>
      <c r="G1" s="39"/>
      <c r="H1" s="10" t="s">
        <v>21</v>
      </c>
      <c r="I1" s="1" t="s">
        <v>18</v>
      </c>
      <c r="J1" s="11"/>
      <c r="L1" s="38" t="str">
        <f>"صورت حساب "&amp;$I$1</f>
        <v>صورت حساب نفر دوم</v>
      </c>
      <c r="M1" s="39"/>
      <c r="N1" s="39"/>
      <c r="O1" s="39"/>
      <c r="P1" s="39"/>
      <c r="Q1" s="39"/>
      <c r="R1" s="39"/>
      <c r="S1" s="39"/>
      <c r="T1" s="40"/>
    </row>
    <row r="2" spans="1:20">
      <c r="A2" s="3" t="s">
        <v>22</v>
      </c>
      <c r="B2" s="4">
        <v>3463656</v>
      </c>
      <c r="C2" s="5">
        <v>3462656</v>
      </c>
      <c r="D2" s="55"/>
      <c r="E2" s="41" t="s">
        <v>15</v>
      </c>
      <c r="F2" s="42"/>
      <c r="G2" s="42" t="s">
        <v>16</v>
      </c>
      <c r="H2" s="42"/>
      <c r="I2" s="42" t="s">
        <v>17</v>
      </c>
      <c r="J2" s="51"/>
      <c r="L2" s="41" t="s">
        <v>52</v>
      </c>
      <c r="M2" s="42"/>
      <c r="N2" s="42" t="s">
        <v>53</v>
      </c>
      <c r="O2" s="42"/>
      <c r="P2" s="42"/>
      <c r="Q2" s="14" t="s">
        <v>37</v>
      </c>
      <c r="R2" s="14" t="s">
        <v>38</v>
      </c>
      <c r="S2" s="14" t="s">
        <v>54</v>
      </c>
      <c r="T2" s="15" t="s">
        <v>60</v>
      </c>
    </row>
    <row r="3" spans="1:20">
      <c r="A3" s="3" t="s">
        <v>0</v>
      </c>
      <c r="B3" s="3">
        <v>30</v>
      </c>
      <c r="C3" s="6">
        <v>30</v>
      </c>
      <c r="D3" s="55"/>
      <c r="E3" s="16" t="s">
        <v>0</v>
      </c>
      <c r="F3" s="14" t="str" cm="1">
        <f t="array" aca="1" ref="F3" ca="1">IFERROR(_xlfn.XLOOKUP(E3,$A$2:$A$18,_xlfn.XLOOKUP($I$1,$B$1:$C$1,$B$2:$C$18)),"")</f>
        <v/>
      </c>
      <c r="G3" s="14" t="s">
        <v>10</v>
      </c>
      <c r="H3" s="17" t="str" cm="1">
        <f t="array" aca="1" ref="H3" ca="1">IFERROR(F3*_xlfn.XLOOKUP("حقوق پایه روزانه",$A$2:$A$18,_xlfn.XLOOKUP($I$1,$B$1:$C$1,$B$2:$C$18)),"")</f>
        <v/>
      </c>
      <c r="I3" s="14" t="s">
        <v>13</v>
      </c>
      <c r="J3" s="18" t="str" cm="1">
        <f t="array" aca="1" ref="J3" ca="1">IFERROR((_xlfn.XLOOKUP("حقوق پایه روزانه",$A$2:$A$18,_xlfn.XLOOKUP($I$1,$B$1:$C$1,$B$2:$C$18))/$F$8)*F5,"")</f>
        <v/>
      </c>
      <c r="L3" s="41" t="s">
        <v>57</v>
      </c>
      <c r="M3" s="42"/>
      <c r="N3" s="42" t="s">
        <v>58</v>
      </c>
      <c r="O3" s="42"/>
      <c r="P3" s="42"/>
      <c r="Q3" s="14"/>
      <c r="R3" s="17">
        <f ca="1">I12</f>
        <v>0</v>
      </c>
      <c r="S3" s="17">
        <f ca="1">Q3-R3</f>
        <v>0</v>
      </c>
      <c r="T3" s="15" t="str">
        <f ca="1">IF(S3&gt;0,"بد",IF(S3&lt;0,"بس",IF(S3=0,"-")))</f>
        <v>-</v>
      </c>
    </row>
    <row r="4" spans="1:20" ht="20.25" thickBot="1">
      <c r="A4" s="3" t="s">
        <v>1</v>
      </c>
      <c r="B4" s="3">
        <v>0</v>
      </c>
      <c r="C4" s="6">
        <v>0</v>
      </c>
      <c r="D4" s="55"/>
      <c r="E4" s="16" t="s">
        <v>1</v>
      </c>
      <c r="F4" s="14" t="str" cm="1">
        <f t="array" aca="1" ref="F4" ca="1">IFERROR(_xlfn.XLOOKUP(E4,$A$2:$A$18,_xlfn.XLOOKUP($I$1,$B$1:$C$1,$B$2:$C$18)),"")</f>
        <v/>
      </c>
      <c r="G4" s="14" t="s">
        <v>11</v>
      </c>
      <c r="H4" s="17" t="str" cm="1">
        <f t="array" aca="1" ref="H4" ca="1">IFERROR((_xlfn.XLOOKUP("حقوق پایه روزانه",$A$2:$A$18,_xlfn.XLOOKUP($I$1,$B$1:$C$1,$B$2:$C$18))/$F$8)*1.4*F4,"")</f>
        <v/>
      </c>
      <c r="I4" s="14" t="s">
        <v>14</v>
      </c>
      <c r="J4" s="18">
        <f ca="1">IF(H11&lt;C22,0,IF(H11&lt;C23,(H11-C22)*B22,IF(H11&lt;C24,(H11-C23)*B23,IF(H11&lt;C25,(H11-C24)*B24,IF(H11&lt;C26,(H11-C25)*B25,IF(H11&gt;C26,(H11-C26)*B26))))))</f>
        <v>0</v>
      </c>
      <c r="L4" s="45" t="s">
        <v>57</v>
      </c>
      <c r="M4" s="46"/>
      <c r="N4" s="46" t="s">
        <v>59</v>
      </c>
      <c r="O4" s="46"/>
      <c r="P4" s="46"/>
      <c r="Q4" s="19">
        <f ca="1">I12</f>
        <v>0</v>
      </c>
      <c r="R4" s="20"/>
      <c r="S4" s="19">
        <f ca="1">Q4-R4+S3</f>
        <v>0</v>
      </c>
      <c r="T4" s="21" t="str">
        <f ca="1">IF(S4&gt;0,"بد",IF(S4&lt;0,"بس",IF(S4=0,"-")))</f>
        <v>-</v>
      </c>
    </row>
    <row r="5" spans="1:20">
      <c r="A5" s="3" t="s">
        <v>2</v>
      </c>
      <c r="B5" s="3">
        <v>8</v>
      </c>
      <c r="C5" s="6">
        <v>8</v>
      </c>
      <c r="D5" s="55"/>
      <c r="E5" s="16" t="s">
        <v>3</v>
      </c>
      <c r="F5" s="14" t="str" cm="1">
        <f t="array" aca="1" ref="F5" ca="1">IFERROR(_xlfn.XLOOKUP(E5,$A$2:$A$18,_xlfn.XLOOKUP($I$1,$B$1:$C$1,$B$2:$C$18)),"")</f>
        <v/>
      </c>
      <c r="G5" s="14" t="s">
        <v>12</v>
      </c>
      <c r="H5" s="17" t="str" cm="1">
        <f t="array" aca="1" ref="H5" ca="1">IFERROR((_xlfn.XLOOKUP("حقوق پایه روزانه",$A$2:$A$18,_xlfn.XLOOKUP($I$1,$B$1:$C$1,$B$2:$C$18))/$F$8)*1.4*F7,"")</f>
        <v/>
      </c>
      <c r="I5" s="14" t="s">
        <v>34</v>
      </c>
      <c r="J5" s="18" t="str">
        <f ca="1">IFERROR(F11*0.07,"")</f>
        <v/>
      </c>
    </row>
    <row r="6" spans="1:20">
      <c r="A6" s="3" t="s">
        <v>3</v>
      </c>
      <c r="B6" s="3">
        <v>0</v>
      </c>
      <c r="C6" s="6">
        <v>0</v>
      </c>
      <c r="D6" s="55"/>
      <c r="E6" s="16" t="s">
        <v>27</v>
      </c>
      <c r="F6" s="14" t="str" cm="1">
        <f t="array" aca="1" ref="F6" ca="1">IFERROR(_xlfn.XLOOKUP(E6,$A$2:$A$18,_xlfn.XLOOKUP($I$1,$B$1:$C$1,$B$2:$C$18)),"")</f>
        <v/>
      </c>
      <c r="G6" s="14" t="s">
        <v>29</v>
      </c>
      <c r="H6" s="17" t="str" cm="1">
        <f t="array" aca="1" ref="H6" ca="1">IFERROR((_xlfn.XLOOKUP("حقوق پایه روزانه",$A$2:$A$18,_xlfn.XLOOKUP($I$1,$B$1:$C$1,$B$2:$C$18))/$F$8)*1.4*F6,"")</f>
        <v/>
      </c>
      <c r="I6" s="23"/>
      <c r="J6" s="24"/>
    </row>
    <row r="7" spans="1:20">
      <c r="A7" s="3" t="s">
        <v>27</v>
      </c>
      <c r="B7" s="3">
        <v>0</v>
      </c>
      <c r="C7" s="6">
        <v>0</v>
      </c>
      <c r="D7" s="55"/>
      <c r="E7" s="16" t="s">
        <v>4</v>
      </c>
      <c r="F7" s="14" t="str" cm="1">
        <f t="array" aca="1" ref="F7" ca="1">IFERROR(_xlfn.XLOOKUP(E7,$A$2:$A$18,_xlfn.XLOOKUP($I$1,$B$1:$C$1,$B$2:$C$18)),"")</f>
        <v/>
      </c>
      <c r="G7" s="14" t="s">
        <v>26</v>
      </c>
      <c r="H7" s="17" t="str" cm="1">
        <f t="array" aca="1" ref="H7" ca="1">IFERROR(_xlfn.XLOOKUP(G7,$A$2:$A$18,_xlfn.XLOOKUP($I$1,$B$1:$C$1,$B$2:$C$18)),"")</f>
        <v/>
      </c>
      <c r="I7" s="23"/>
      <c r="J7" s="24"/>
    </row>
    <row r="8" spans="1:20">
      <c r="A8" s="3" t="s">
        <v>4</v>
      </c>
      <c r="B8" s="3">
        <v>0</v>
      </c>
      <c r="C8" s="6">
        <v>0</v>
      </c>
      <c r="D8" s="55"/>
      <c r="E8" s="16" t="s">
        <v>2</v>
      </c>
      <c r="F8" s="14" t="str" cm="1">
        <f t="array" aca="1" ref="F8" ca="1">IFERROR(_xlfn.XLOOKUP(E8,$A$2:$A$18,_xlfn.XLOOKUP($I$1,$B$1:$C$1,$B$2:$C$18)),"")</f>
        <v/>
      </c>
      <c r="G8" s="14" t="s">
        <v>5</v>
      </c>
      <c r="H8" s="17" t="str" cm="1">
        <f t="array" aca="1" ref="H8" ca="1">IFERROR(_xlfn.XLOOKUP(G8,$A$2:$A$18,_xlfn.XLOOKUP($I$1,$B$1:$C$1,$B$2:$C$18)),"")</f>
        <v/>
      </c>
      <c r="I8" s="23"/>
      <c r="J8" s="24"/>
      <c r="L8" s="59"/>
      <c r="M8" s="59"/>
      <c r="N8" s="59"/>
      <c r="O8" s="59"/>
      <c r="P8" s="59"/>
    </row>
    <row r="9" spans="1:20">
      <c r="A9" s="3" t="s">
        <v>26</v>
      </c>
      <c r="B9" s="4">
        <v>22000000</v>
      </c>
      <c r="C9" s="5">
        <v>22000000</v>
      </c>
      <c r="D9" s="55"/>
      <c r="E9" s="16" t="s">
        <v>6</v>
      </c>
      <c r="F9" s="14" t="str" cm="1">
        <f t="array" aca="1" ref="F9" ca="1">IFERROR(_xlfn.XLOOKUP(E9,$A$2:$A$18,_xlfn.XLOOKUP($I$1,$B$1:$C$1,$B$2:$C$18)),"")</f>
        <v/>
      </c>
      <c r="G9" s="14" t="s">
        <v>23</v>
      </c>
      <c r="H9" s="17" t="str" cm="1">
        <f t="array" aca="1" ref="H9" ca="1">IFERROR(IF(_xlfn.XLOOKUP("وضعیت تاهل",$A$2:$A$18,_xlfn.XLOOKUP($I$1,$B$1:$C$1,$B$2:$C$18))="متاهل",_xlfn.XLOOKUP(G9,$A$2:$A$18,_xlfn.XLOOKUP($I$1,$B$1:$C$1,$B$2:$C$18)),0),"")</f>
        <v/>
      </c>
      <c r="I9" s="23"/>
      <c r="J9" s="24"/>
      <c r="L9" s="59"/>
      <c r="M9" s="59"/>
      <c r="N9" s="59"/>
      <c r="O9" s="59"/>
      <c r="P9" s="59"/>
    </row>
    <row r="10" spans="1:20">
      <c r="A10" s="3" t="s">
        <v>5</v>
      </c>
      <c r="B10" s="4">
        <v>9000000</v>
      </c>
      <c r="C10" s="5">
        <v>9000000</v>
      </c>
      <c r="D10" s="55"/>
      <c r="E10" s="16" t="s">
        <v>25</v>
      </c>
      <c r="F10" s="14" t="str" cm="1">
        <f t="array" aca="1" ref="F10" ca="1">IFERROR(_xlfn.XLOOKUP(E10,$A$2:$A$18,_xlfn.XLOOKUP($I$1,$B$1:$C$1,$B$2:$C$18)),"")</f>
        <v/>
      </c>
      <c r="G10" s="14" t="s">
        <v>24</v>
      </c>
      <c r="H10" s="17" t="str" cm="1">
        <f t="array" aca="1" ref="H10" ca="1">IFERROR(IF(_xlfn.XLOOKUP("تعداد فرزندان",$A$2:$A$18,_xlfn.XLOOKUP($I$1,$B$1:$C$1,$B$2:$C$18))&gt;0,F10*_xlfn.XLOOKUP(G10,$A$2:$A$18,_xlfn.XLOOKUP($I$1,$B$1:$C$1,$B$2:$C$18)),0),"")</f>
        <v/>
      </c>
      <c r="I10" s="23"/>
      <c r="J10" s="24"/>
      <c r="L10" s="59"/>
      <c r="M10" s="59"/>
      <c r="N10" s="59"/>
      <c r="O10" s="59"/>
      <c r="P10" s="59"/>
    </row>
    <row r="11" spans="1:20">
      <c r="A11" s="3" t="s">
        <v>23</v>
      </c>
      <c r="B11" s="4">
        <v>5000000</v>
      </c>
      <c r="C11" s="5">
        <v>5000000</v>
      </c>
      <c r="D11" s="55"/>
      <c r="E11" s="16" t="s">
        <v>33</v>
      </c>
      <c r="F11" s="17" t="str">
        <f ca="1">IFERROR(H3+H8+H7+H9,"")</f>
        <v/>
      </c>
      <c r="G11" s="14" t="s">
        <v>19</v>
      </c>
      <c r="H11" s="17">
        <f ca="1">SUM(H3:H10)</f>
        <v>0</v>
      </c>
      <c r="I11" s="14" t="s">
        <v>20</v>
      </c>
      <c r="J11" s="18">
        <f ca="1">SUM(J3:J10)</f>
        <v>0</v>
      </c>
      <c r="L11" s="59"/>
      <c r="M11" s="59"/>
      <c r="N11" s="59"/>
      <c r="O11" s="59"/>
      <c r="P11" s="59"/>
    </row>
    <row r="12" spans="1:20" ht="20.25" thickBot="1">
      <c r="A12" s="3" t="s">
        <v>6</v>
      </c>
      <c r="B12" s="3" t="s">
        <v>8</v>
      </c>
      <c r="C12" s="6" t="s">
        <v>9</v>
      </c>
      <c r="D12" s="56"/>
      <c r="E12" s="25"/>
      <c r="F12" s="26"/>
      <c r="G12" s="46" t="str">
        <f>"خالص درآمد "&amp;I1</f>
        <v>خالص درآمد نفر دوم</v>
      </c>
      <c r="H12" s="46"/>
      <c r="I12" s="47">
        <f ca="1">H11-J11</f>
        <v>0</v>
      </c>
      <c r="J12" s="49"/>
      <c r="L12" s="59"/>
      <c r="M12" s="59"/>
      <c r="N12" s="59"/>
      <c r="O12" s="59"/>
      <c r="P12" s="59"/>
    </row>
    <row r="13" spans="1:20" ht="20.25" thickBot="1">
      <c r="A13" s="3" t="s">
        <v>24</v>
      </c>
      <c r="B13" s="4">
        <v>10390968</v>
      </c>
      <c r="C13" s="4">
        <v>10390968</v>
      </c>
      <c r="L13" s="60" t="s">
        <v>74</v>
      </c>
      <c r="M13" s="61"/>
      <c r="N13" s="61"/>
      <c r="O13" s="61"/>
      <c r="P13" s="58"/>
    </row>
    <row r="14" spans="1:20">
      <c r="A14" s="3" t="s">
        <v>25</v>
      </c>
      <c r="B14" s="3">
        <v>0</v>
      </c>
      <c r="C14" s="6">
        <v>1</v>
      </c>
      <c r="D14" s="54" t="s">
        <v>51</v>
      </c>
      <c r="E14" s="38" t="s">
        <v>36</v>
      </c>
      <c r="F14" s="39"/>
      <c r="G14" s="39" t="s">
        <v>37</v>
      </c>
      <c r="H14" s="39"/>
      <c r="I14" s="39" t="s">
        <v>38</v>
      </c>
      <c r="J14" s="40"/>
      <c r="L14" s="61"/>
      <c r="M14" s="61"/>
      <c r="N14" s="61"/>
      <c r="O14" s="61"/>
      <c r="P14" s="58"/>
    </row>
    <row r="15" spans="1:20">
      <c r="D15" s="55"/>
      <c r="E15" s="41" t="s">
        <v>39</v>
      </c>
      <c r="F15" s="42"/>
      <c r="G15" s="43" t="str">
        <f t="shared" ref="G15:G22" ca="1" si="0">H3</f>
        <v/>
      </c>
      <c r="H15" s="42"/>
      <c r="I15" s="43">
        <v>0</v>
      </c>
      <c r="J15" s="44"/>
      <c r="L15" s="62" t="s">
        <v>75</v>
      </c>
      <c r="M15" s="63"/>
      <c r="N15" s="63"/>
      <c r="O15" s="63"/>
      <c r="P15" s="58"/>
    </row>
    <row r="16" spans="1:20">
      <c r="B16" s="7"/>
      <c r="D16" s="55"/>
      <c r="E16" s="41" t="s">
        <v>40</v>
      </c>
      <c r="F16" s="42"/>
      <c r="G16" s="43" t="str">
        <f t="shared" ca="1" si="0"/>
        <v/>
      </c>
      <c r="H16" s="42"/>
      <c r="I16" s="43">
        <v>0</v>
      </c>
      <c r="J16" s="44"/>
      <c r="L16" s="63"/>
      <c r="M16" s="63"/>
      <c r="N16" s="63"/>
      <c r="O16" s="63"/>
      <c r="P16" s="58"/>
    </row>
    <row r="17" spans="1:10">
      <c r="B17" s="7"/>
      <c r="C17" s="8"/>
      <c r="D17" s="55"/>
      <c r="E17" s="41" t="s">
        <v>41</v>
      </c>
      <c r="F17" s="42"/>
      <c r="G17" s="43" t="str">
        <f t="shared" ca="1" si="0"/>
        <v/>
      </c>
      <c r="H17" s="42"/>
      <c r="I17" s="43">
        <v>0</v>
      </c>
      <c r="J17" s="44"/>
    </row>
    <row r="18" spans="1:10">
      <c r="D18" s="55"/>
      <c r="E18" s="41" t="s">
        <v>42</v>
      </c>
      <c r="F18" s="42"/>
      <c r="G18" s="43" t="str">
        <f t="shared" ca="1" si="0"/>
        <v/>
      </c>
      <c r="H18" s="42"/>
      <c r="I18" s="43">
        <v>0</v>
      </c>
      <c r="J18" s="44"/>
    </row>
    <row r="19" spans="1:10">
      <c r="A19" s="42" t="s">
        <v>72</v>
      </c>
      <c r="B19" s="42"/>
      <c r="C19" s="57"/>
      <c r="D19" s="55"/>
      <c r="E19" s="41" t="s">
        <v>43</v>
      </c>
      <c r="F19" s="42"/>
      <c r="G19" s="43" t="str">
        <f t="shared" ca="1" si="0"/>
        <v/>
      </c>
      <c r="H19" s="42"/>
      <c r="I19" s="43">
        <v>0</v>
      </c>
      <c r="J19" s="44"/>
    </row>
    <row r="20" spans="1:10">
      <c r="A20" s="13" t="s">
        <v>30</v>
      </c>
      <c r="B20" s="13" t="s">
        <v>31</v>
      </c>
      <c r="C20" s="28" t="s">
        <v>32</v>
      </c>
      <c r="D20" s="55"/>
      <c r="E20" s="41" t="s">
        <v>44</v>
      </c>
      <c r="F20" s="42"/>
      <c r="G20" s="43" t="str">
        <f t="shared" ca="1" si="0"/>
        <v/>
      </c>
      <c r="H20" s="42"/>
      <c r="I20" s="43">
        <v>0</v>
      </c>
      <c r="J20" s="44"/>
    </row>
    <row r="21" spans="1:10">
      <c r="A21" s="29" t="s">
        <v>66</v>
      </c>
      <c r="B21" s="30">
        <v>0</v>
      </c>
      <c r="C21" s="31"/>
      <c r="D21" s="55"/>
      <c r="E21" s="41" t="s">
        <v>45</v>
      </c>
      <c r="F21" s="42"/>
      <c r="G21" s="43" t="str">
        <f t="shared" ca="1" si="0"/>
        <v/>
      </c>
      <c r="H21" s="42"/>
      <c r="I21" s="43">
        <v>0</v>
      </c>
      <c r="J21" s="44"/>
    </row>
    <row r="22" spans="1:10">
      <c r="A22" s="29" t="s">
        <v>67</v>
      </c>
      <c r="B22" s="30">
        <v>0.1</v>
      </c>
      <c r="C22" s="31">
        <v>240000000</v>
      </c>
      <c r="D22" s="55"/>
      <c r="E22" s="41" t="s">
        <v>46</v>
      </c>
      <c r="F22" s="42"/>
      <c r="G22" s="43" t="str">
        <f t="shared" ca="1" si="0"/>
        <v/>
      </c>
      <c r="H22" s="42"/>
      <c r="I22" s="43">
        <v>0</v>
      </c>
      <c r="J22" s="44"/>
    </row>
    <row r="23" spans="1:10">
      <c r="A23" s="29" t="s">
        <v>68</v>
      </c>
      <c r="B23" s="30">
        <v>0.15</v>
      </c>
      <c r="C23" s="31">
        <v>300000000</v>
      </c>
      <c r="D23" s="55"/>
      <c r="E23" s="52" t="s">
        <v>47</v>
      </c>
      <c r="F23" s="53"/>
      <c r="G23" s="43" t="str">
        <f ca="1">IFERROR(F11*0.2,"")</f>
        <v/>
      </c>
      <c r="H23" s="43"/>
      <c r="I23" s="43">
        <v>0</v>
      </c>
      <c r="J23" s="44"/>
    </row>
    <row r="24" spans="1:10">
      <c r="A24" s="29" t="s">
        <v>69</v>
      </c>
      <c r="B24" s="30">
        <v>0.2</v>
      </c>
      <c r="C24" s="31">
        <v>380000000</v>
      </c>
      <c r="D24" s="55"/>
      <c r="E24" s="52" t="s">
        <v>48</v>
      </c>
      <c r="F24" s="53"/>
      <c r="G24" s="43" t="str">
        <f ca="1">IFERROR(F11*0.03,"")</f>
        <v/>
      </c>
      <c r="H24" s="43"/>
      <c r="I24" s="43">
        <v>0</v>
      </c>
      <c r="J24" s="44"/>
    </row>
    <row r="25" spans="1:10">
      <c r="A25" s="29" t="s">
        <v>70</v>
      </c>
      <c r="B25" s="30">
        <v>0.25</v>
      </c>
      <c r="C25" s="31">
        <v>500000000</v>
      </c>
      <c r="D25" s="55"/>
      <c r="E25" s="41" t="str">
        <f>"حقوق و دستمزد پرداخت / "&amp;$I$1</f>
        <v>حقوق و دستمزد پرداخت / نفر دوم</v>
      </c>
      <c r="F25" s="42"/>
      <c r="G25" s="43">
        <v>0</v>
      </c>
      <c r="H25" s="43"/>
      <c r="I25" s="50">
        <f ca="1">I12</f>
        <v>0</v>
      </c>
      <c r="J25" s="51"/>
    </row>
    <row r="26" spans="1:10">
      <c r="A26" s="32" t="s">
        <v>71</v>
      </c>
      <c r="B26" s="33">
        <v>0.3</v>
      </c>
      <c r="C26" s="31">
        <v>660000000</v>
      </c>
      <c r="D26" s="55"/>
      <c r="E26" s="41" t="s">
        <v>49</v>
      </c>
      <c r="F26" s="42"/>
      <c r="G26" s="43">
        <v>0</v>
      </c>
      <c r="H26" s="43"/>
      <c r="I26" s="50" t="str">
        <f ca="1">IFERROR(F11*0.3,"")</f>
        <v/>
      </c>
      <c r="J26" s="51"/>
    </row>
    <row r="27" spans="1:10">
      <c r="A27" s="9"/>
      <c r="D27" s="55"/>
      <c r="E27" s="41" t="s">
        <v>14</v>
      </c>
      <c r="F27" s="42"/>
      <c r="G27" s="43">
        <v>0</v>
      </c>
      <c r="H27" s="43"/>
      <c r="I27" s="50">
        <f ca="1">J4</f>
        <v>0</v>
      </c>
      <c r="J27" s="51"/>
    </row>
    <row r="28" spans="1:10">
      <c r="A28" s="9"/>
      <c r="D28" s="55"/>
      <c r="E28" s="41" t="s">
        <v>50</v>
      </c>
      <c r="F28" s="42"/>
      <c r="G28" s="43">
        <v>0</v>
      </c>
      <c r="H28" s="43"/>
      <c r="I28" s="50" t="str">
        <f ca="1">J3</f>
        <v/>
      </c>
      <c r="J28" s="51"/>
    </row>
    <row r="29" spans="1:10" ht="20.25" thickBot="1">
      <c r="D29" s="56"/>
      <c r="E29" s="27"/>
      <c r="F29" s="20"/>
      <c r="G29" s="47">
        <f ca="1">SUM(G15:H26)</f>
        <v>0</v>
      </c>
      <c r="H29" s="46"/>
      <c r="I29" s="47">
        <f ca="1">SUM(I15:J28)</f>
        <v>0</v>
      </c>
      <c r="J29" s="49"/>
    </row>
    <row r="30" spans="1:10" ht="20.25" thickBot="1"/>
    <row r="31" spans="1:10">
      <c r="D31" s="35" t="s">
        <v>56</v>
      </c>
      <c r="E31" s="38" t="s">
        <v>36</v>
      </c>
      <c r="F31" s="39"/>
      <c r="G31" s="39" t="s">
        <v>37</v>
      </c>
      <c r="H31" s="39"/>
      <c r="I31" s="39" t="s">
        <v>38</v>
      </c>
      <c r="J31" s="40"/>
    </row>
    <row r="32" spans="1:10">
      <c r="D32" s="36"/>
      <c r="E32" s="41" t="str">
        <f>"حقوق و دستمزد پرداخت / "&amp;$I$1</f>
        <v>حقوق و دستمزد پرداخت / نفر دوم</v>
      </c>
      <c r="F32" s="42"/>
      <c r="G32" s="43">
        <f ca="1">I25</f>
        <v>0</v>
      </c>
      <c r="H32" s="42"/>
      <c r="I32" s="43">
        <v>0</v>
      </c>
      <c r="J32" s="44"/>
    </row>
    <row r="33" spans="4:10" ht="20.25" thickBot="1">
      <c r="D33" s="37"/>
      <c r="E33" s="45" t="s">
        <v>55</v>
      </c>
      <c r="F33" s="46"/>
      <c r="G33" s="47">
        <v>0</v>
      </c>
      <c r="H33" s="47"/>
      <c r="I33" s="48">
        <f ca="1">I25</f>
        <v>0</v>
      </c>
      <c r="J33" s="49"/>
    </row>
  </sheetData>
  <mergeCells count="78">
    <mergeCell ref="P15:P16"/>
    <mergeCell ref="L15:O16"/>
    <mergeCell ref="L8:P12"/>
    <mergeCell ref="P13:P14"/>
    <mergeCell ref="L13:O14"/>
    <mergeCell ref="L2:M2"/>
    <mergeCell ref="N2:P2"/>
    <mergeCell ref="A19:C19"/>
    <mergeCell ref="E19:F19"/>
    <mergeCell ref="G12:H12"/>
    <mergeCell ref="I12:J12"/>
    <mergeCell ref="D1:D12"/>
    <mergeCell ref="G14:H14"/>
    <mergeCell ref="I14:J14"/>
    <mergeCell ref="G15:H15"/>
    <mergeCell ref="I15:J15"/>
    <mergeCell ref="G16:H16"/>
    <mergeCell ref="I16:J16"/>
    <mergeCell ref="G17:H17"/>
    <mergeCell ref="E2:F2"/>
    <mergeCell ref="G2:H2"/>
    <mergeCell ref="I2:J2"/>
    <mergeCell ref="E1:G1"/>
    <mergeCell ref="I17:J17"/>
    <mergeCell ref="G18:H18"/>
    <mergeCell ref="I18:J18"/>
    <mergeCell ref="G19:H19"/>
    <mergeCell ref="I19:J19"/>
    <mergeCell ref="I20:J20"/>
    <mergeCell ref="G21:H21"/>
    <mergeCell ref="I21:J21"/>
    <mergeCell ref="G20:H20"/>
    <mergeCell ref="E20:F20"/>
    <mergeCell ref="E21:F21"/>
    <mergeCell ref="E27:F27"/>
    <mergeCell ref="E28:F28"/>
    <mergeCell ref="D14:D29"/>
    <mergeCell ref="E15:F15"/>
    <mergeCell ref="E16:F16"/>
    <mergeCell ref="E17:F17"/>
    <mergeCell ref="E18:F18"/>
    <mergeCell ref="E26:F26"/>
    <mergeCell ref="G24:H24"/>
    <mergeCell ref="I24:J24"/>
    <mergeCell ref="G25:H25"/>
    <mergeCell ref="I25:J25"/>
    <mergeCell ref="E24:F24"/>
    <mergeCell ref="E25:F25"/>
    <mergeCell ref="G22:H22"/>
    <mergeCell ref="I22:J22"/>
    <mergeCell ref="G23:H23"/>
    <mergeCell ref="I23:J23"/>
    <mergeCell ref="E22:F22"/>
    <mergeCell ref="E23:F23"/>
    <mergeCell ref="I26:J26"/>
    <mergeCell ref="G29:H29"/>
    <mergeCell ref="I29:J29"/>
    <mergeCell ref="G27:H27"/>
    <mergeCell ref="I27:J27"/>
    <mergeCell ref="G28:H28"/>
    <mergeCell ref="I28:J28"/>
    <mergeCell ref="G26:H26"/>
    <mergeCell ref="D31:D33"/>
    <mergeCell ref="L1:T1"/>
    <mergeCell ref="E32:F32"/>
    <mergeCell ref="G32:H32"/>
    <mergeCell ref="I32:J32"/>
    <mergeCell ref="E33:F33"/>
    <mergeCell ref="G33:H33"/>
    <mergeCell ref="I33:J33"/>
    <mergeCell ref="L3:M3"/>
    <mergeCell ref="N3:P3"/>
    <mergeCell ref="L4:M4"/>
    <mergeCell ref="N4:P4"/>
    <mergeCell ref="E31:F31"/>
    <mergeCell ref="G31:H31"/>
    <mergeCell ref="I31:J31"/>
    <mergeCell ref="E14:F14"/>
  </mergeCells>
  <conditionalFormatting sqref="G15:J29">
    <cfRule type="cellIs" dxfId="1" priority="2" operator="equal">
      <formula>0</formula>
    </cfRule>
  </conditionalFormatting>
  <conditionalFormatting sqref="G32:J33">
    <cfRule type="cellIs" dxfId="0" priority="1" operator="equal">
      <formula>0</formula>
    </cfRule>
  </conditionalFormatting>
  <dataValidations count="1">
    <dataValidation type="list" allowBlank="1" showInputMessage="1" showErrorMessage="1" sqref="I1" xr:uid="{4E75721F-DBEF-4FFF-8C15-D893153BFE46}">
      <formula1>$B$1:$C$1</formula1>
    </dataValidation>
  </dataValidations>
  <hyperlinks>
    <hyperlink ref="L13" r:id="rId1" xr:uid="{E99E8ADC-F9CE-4A49-8F97-93F753FF1964}"/>
  </hyperlinks>
  <pageMargins left="0.7" right="0.7" top="0.75" bottom="0.75" header="0.3" footer="0.3"/>
  <pageSetup paperSize="9" scale="75" orientation="portrait" r:id="rId2"/>
  <ignoredErrors>
    <ignoredError sqref="H5" 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FF30-F2D9-42D9-A5CB-F86E03DB28E7}">
  <dimension ref="A1:AE8"/>
  <sheetViews>
    <sheetView rightToLeft="1" workbookViewId="0"/>
  </sheetViews>
  <sheetFormatPr defaultColWidth="9.125" defaultRowHeight="19.5"/>
  <cols>
    <col min="1" max="1" width="14.375" style="12" bestFit="1" customWidth="1"/>
    <col min="2" max="2" width="22.125" style="12" bestFit="1" customWidth="1"/>
    <col min="3" max="3" width="22.875" style="12" bestFit="1" customWidth="1"/>
    <col min="4" max="4" width="22.125" style="12" bestFit="1" customWidth="1"/>
    <col min="5" max="5" width="23" style="12" bestFit="1" customWidth="1"/>
    <col min="6" max="6" width="13" style="34" bestFit="1" customWidth="1"/>
    <col min="7" max="7" width="12" style="34" bestFit="1" customWidth="1"/>
    <col min="8" max="8" width="12.875" style="12" bestFit="1" customWidth="1"/>
    <col min="9" max="9" width="12.25" style="34" bestFit="1" customWidth="1"/>
    <col min="10" max="10" width="12.375" style="12" bestFit="1" customWidth="1"/>
    <col min="11" max="11" width="14" style="34" bestFit="1" customWidth="1"/>
    <col min="12" max="12" width="15.375" style="12" bestFit="1" customWidth="1"/>
    <col min="13" max="13" width="15.25" style="34" bestFit="1" customWidth="1"/>
    <col min="14" max="14" width="15.375" style="12" bestFit="1" customWidth="1"/>
    <col min="15" max="15" width="14.75" style="12" bestFit="1" customWidth="1"/>
    <col min="16" max="16" width="10.75" style="12" bestFit="1" customWidth="1"/>
    <col min="17" max="17" width="14.75" style="12" bestFit="1" customWidth="1"/>
    <col min="18" max="18" width="13" style="12" bestFit="1" customWidth="1"/>
    <col min="19" max="19" width="12" style="12" bestFit="1" customWidth="1"/>
    <col min="20" max="20" width="12.25" style="12" bestFit="1" customWidth="1"/>
    <col min="21" max="21" width="14" style="12" bestFit="1" customWidth="1"/>
    <col min="22" max="22" width="16" style="12" bestFit="1" customWidth="1"/>
    <col min="23" max="23" width="15" style="12" bestFit="1" customWidth="1"/>
    <col min="24" max="24" width="11.375" style="12" bestFit="1" customWidth="1"/>
    <col min="25" max="25" width="13.75" style="12" bestFit="1" customWidth="1"/>
    <col min="26" max="26" width="14.75" style="12" bestFit="1" customWidth="1"/>
    <col min="27" max="27" width="15.25" style="12" bestFit="1" customWidth="1"/>
    <col min="28" max="28" width="15.75" style="12" bestFit="1" customWidth="1"/>
    <col min="29" max="29" width="22.25" style="12" bestFit="1" customWidth="1"/>
    <col min="30" max="30" width="9.125" style="12"/>
    <col min="31" max="31" width="14.625" style="12" bestFit="1" customWidth="1"/>
    <col min="32" max="16384" width="9.125" style="12"/>
  </cols>
  <sheetData>
    <row r="1" spans="1:31">
      <c r="A1" s="12" t="s">
        <v>0</v>
      </c>
      <c r="B1" s="12" t="s">
        <v>1</v>
      </c>
      <c r="C1" s="12" t="s">
        <v>61</v>
      </c>
      <c r="D1" s="12" t="s">
        <v>27</v>
      </c>
      <c r="E1" s="12" t="s">
        <v>4</v>
      </c>
      <c r="F1" s="34" t="s">
        <v>62</v>
      </c>
      <c r="G1" s="34" t="s">
        <v>5</v>
      </c>
      <c r="H1" s="12" t="s">
        <v>6</v>
      </c>
      <c r="I1" s="34" t="s">
        <v>23</v>
      </c>
      <c r="J1" s="12" t="s">
        <v>25</v>
      </c>
      <c r="K1" s="34" t="s">
        <v>24</v>
      </c>
      <c r="L1" s="12" t="s">
        <v>63</v>
      </c>
      <c r="M1" s="34" t="s">
        <v>22</v>
      </c>
      <c r="N1" s="12" t="s">
        <v>10</v>
      </c>
      <c r="O1" s="12" t="s">
        <v>11</v>
      </c>
      <c r="P1" s="12" t="s">
        <v>29</v>
      </c>
      <c r="Q1" s="12" t="s">
        <v>12</v>
      </c>
      <c r="R1" s="12" t="s">
        <v>65</v>
      </c>
      <c r="S1" s="12" t="s">
        <v>5</v>
      </c>
      <c r="T1" s="12" t="s">
        <v>23</v>
      </c>
      <c r="U1" s="12" t="s">
        <v>24</v>
      </c>
      <c r="V1" s="12" t="s">
        <v>19</v>
      </c>
      <c r="W1" s="12" t="s">
        <v>33</v>
      </c>
      <c r="X1" s="12" t="s">
        <v>64</v>
      </c>
      <c r="Y1" s="12" t="s">
        <v>14</v>
      </c>
      <c r="Z1" s="12" t="s">
        <v>34</v>
      </c>
      <c r="AA1" s="12" t="s">
        <v>20</v>
      </c>
      <c r="AB1" s="12" t="s">
        <v>73</v>
      </c>
      <c r="AC1" s="42" t="s">
        <v>72</v>
      </c>
      <c r="AD1" s="42"/>
      <c r="AE1" s="42"/>
    </row>
    <row r="2" spans="1:31">
      <c r="A2" s="12">
        <v>30</v>
      </c>
      <c r="B2" s="12">
        <v>0</v>
      </c>
      <c r="C2" s="12">
        <v>0</v>
      </c>
      <c r="D2" s="12">
        <v>0</v>
      </c>
      <c r="E2" s="12">
        <v>0</v>
      </c>
      <c r="F2" s="34">
        <v>22000000</v>
      </c>
      <c r="G2" s="34">
        <v>9000000</v>
      </c>
      <c r="H2" s="12" t="s">
        <v>9</v>
      </c>
      <c r="I2" s="34">
        <v>5000000</v>
      </c>
      <c r="J2" s="12">
        <v>2</v>
      </c>
      <c r="K2" s="34">
        <v>10390968</v>
      </c>
      <c r="L2" s="12">
        <v>8</v>
      </c>
      <c r="M2" s="34">
        <v>3463656</v>
      </c>
      <c r="N2" s="34">
        <f>M2*A2</f>
        <v>103909680</v>
      </c>
      <c r="O2" s="34">
        <f>B2*1.4*(M2/L2)</f>
        <v>0</v>
      </c>
      <c r="P2" s="34">
        <f>D2*1.4*(M2/L2)</f>
        <v>0</v>
      </c>
      <c r="Q2" s="34">
        <f>E2*1.4*(M2/L2)</f>
        <v>0</v>
      </c>
      <c r="R2" s="34">
        <f>F2</f>
        <v>22000000</v>
      </c>
      <c r="S2" s="34">
        <f>G2</f>
        <v>9000000</v>
      </c>
      <c r="T2" s="34">
        <f>IF(H2="متاهل",I2,0)</f>
        <v>5000000</v>
      </c>
      <c r="U2" s="34">
        <f>IF(J2&gt;0,K2*J2,0)</f>
        <v>20781936</v>
      </c>
      <c r="V2" s="34">
        <f>SUM(N2:U2)</f>
        <v>160691616</v>
      </c>
      <c r="W2" s="34">
        <f>T2+N2+R2+S2</f>
        <v>139909680</v>
      </c>
      <c r="X2" s="34">
        <f>C2*(M2/8)</f>
        <v>0</v>
      </c>
      <c r="Y2" s="34">
        <f>IF(V2&lt;$AE$4,0,IF(V2&lt;$AE$5,(V2-$AE$4)*$AD$4,IF(V2&lt;$AE$6,(V2-$AE$5)*$AD$5,IF(V2&lt;$AE$7,(V2-$AE$6)*$AD$6,IF(V2&lt;$AE$8,(V2-$AE$7)*$AD$7,IF(V2&gt;$AE$8,(V2-$AE$8)*$AD$8))))))</f>
        <v>0</v>
      </c>
      <c r="Z2" s="34">
        <f>W2*0.07</f>
        <v>9793677.6000000015</v>
      </c>
      <c r="AA2" s="34">
        <f>SUM(X2:Z2)</f>
        <v>9793677.6000000015</v>
      </c>
      <c r="AB2" s="34">
        <f>V2-Z2</f>
        <v>150897938.40000001</v>
      </c>
      <c r="AC2" s="13" t="s">
        <v>30</v>
      </c>
      <c r="AD2" s="13" t="s">
        <v>31</v>
      </c>
      <c r="AE2" s="13" t="s">
        <v>32</v>
      </c>
    </row>
    <row r="3" spans="1:31">
      <c r="A3" s="12">
        <v>30</v>
      </c>
      <c r="B3" s="12">
        <v>0</v>
      </c>
      <c r="C3" s="12">
        <v>0</v>
      </c>
      <c r="D3" s="12">
        <v>0</v>
      </c>
      <c r="E3" s="12">
        <v>0</v>
      </c>
      <c r="F3" s="34">
        <v>22000000</v>
      </c>
      <c r="G3" s="34">
        <v>9000000</v>
      </c>
      <c r="H3" s="12" t="s">
        <v>8</v>
      </c>
      <c r="I3" s="34">
        <v>5000000</v>
      </c>
      <c r="J3" s="12">
        <v>0</v>
      </c>
      <c r="K3" s="34">
        <v>10390968</v>
      </c>
      <c r="L3" s="12">
        <v>8</v>
      </c>
      <c r="M3" s="34">
        <v>3463656</v>
      </c>
      <c r="N3" s="34">
        <f t="shared" ref="N3" si="0">M3*A3</f>
        <v>103909680</v>
      </c>
      <c r="O3" s="34">
        <f t="shared" ref="O3" si="1">B3*1.4*(M3/L3)</f>
        <v>0</v>
      </c>
      <c r="P3" s="34">
        <f t="shared" ref="P3" si="2">D3*1.4*(M3/L3)</f>
        <v>0</v>
      </c>
      <c r="Q3" s="34">
        <f t="shared" ref="Q3" si="3">E3*1.4*(M3/L3)</f>
        <v>0</v>
      </c>
      <c r="R3" s="34">
        <f t="shared" ref="R3" si="4">F3</f>
        <v>22000000</v>
      </c>
      <c r="S3" s="34">
        <f t="shared" ref="S3" si="5">G3</f>
        <v>9000000</v>
      </c>
      <c r="T3" s="34">
        <f t="shared" ref="T3" si="6">IF(H3="متاهل",I3,0)</f>
        <v>0</v>
      </c>
      <c r="U3" s="34">
        <f t="shared" ref="U3" si="7">IF(J3&gt;0,K3*J3,0)</f>
        <v>0</v>
      </c>
      <c r="V3" s="34">
        <f t="shared" ref="V3" si="8">SUM(N3:U3)</f>
        <v>134909680</v>
      </c>
      <c r="W3" s="34">
        <f t="shared" ref="W3" si="9">T3+N3+R3+S3</f>
        <v>134909680</v>
      </c>
      <c r="X3" s="34">
        <f t="shared" ref="X3" si="10">C3*(M3/8)</f>
        <v>0</v>
      </c>
      <c r="Y3" s="34">
        <f t="shared" ref="Y3" si="11">IF(V3&lt;$AE$4,0,IF(V3&lt;$AE$5,(V3-$AE$4)*$AD$4,IF(V3&lt;$AE$6,(V3-$AE$5)*$AD$5,IF(V3&lt;$AE$7,(V3-$AE$6)*$AD$6,IF(V3&lt;$AE$8,(V3-$AE$7)*$AD$7,IF(V3&gt;$AE$8,(V3-$AE$8)*$AD$8))))))</f>
        <v>0</v>
      </c>
      <c r="Z3" s="34">
        <f t="shared" ref="Z3" si="12">W3*0.07</f>
        <v>9443677.6000000015</v>
      </c>
      <c r="AA3" s="34">
        <f t="shared" ref="AA3" si="13">SUM(X3:Z3)</f>
        <v>9443677.6000000015</v>
      </c>
      <c r="AB3" s="34">
        <f t="shared" ref="AB3" si="14">V3-Z3</f>
        <v>125466002.40000001</v>
      </c>
      <c r="AC3" s="29" t="s">
        <v>66</v>
      </c>
      <c r="AD3" s="30">
        <v>0</v>
      </c>
      <c r="AE3" s="17"/>
    </row>
    <row r="4" spans="1:31"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29" t="s">
        <v>67</v>
      </c>
      <c r="AD4" s="30">
        <v>0.1</v>
      </c>
      <c r="AE4" s="17">
        <v>240000000</v>
      </c>
    </row>
    <row r="5" spans="1:31">
      <c r="N5" s="34"/>
      <c r="O5" s="34"/>
      <c r="P5" s="34"/>
      <c r="Q5" s="34"/>
      <c r="R5" s="34"/>
      <c r="S5" s="34"/>
      <c r="V5" s="34"/>
      <c r="W5" s="34"/>
      <c r="X5" s="34"/>
      <c r="Z5" s="34"/>
      <c r="AA5" s="34"/>
      <c r="AB5" s="34"/>
      <c r="AC5" s="29" t="s">
        <v>68</v>
      </c>
      <c r="AD5" s="30">
        <v>0.15</v>
      </c>
      <c r="AE5" s="17">
        <v>300000000</v>
      </c>
    </row>
    <row r="6" spans="1:31" ht="19.5" customHeight="1">
      <c r="AC6" s="29" t="s">
        <v>69</v>
      </c>
      <c r="AD6" s="30">
        <v>0.2</v>
      </c>
      <c r="AE6" s="17">
        <v>380000000</v>
      </c>
    </row>
    <row r="7" spans="1:31">
      <c r="AC7" s="29" t="s">
        <v>70</v>
      </c>
      <c r="AD7" s="30">
        <v>0.25</v>
      </c>
      <c r="AE7" s="17">
        <v>500000000</v>
      </c>
    </row>
    <row r="8" spans="1:31">
      <c r="AC8" s="32" t="s">
        <v>71</v>
      </c>
      <c r="AD8" s="33">
        <v>0.3</v>
      </c>
      <c r="AE8" s="17">
        <v>660000000</v>
      </c>
    </row>
  </sheetData>
  <mergeCells count="1">
    <mergeCell ref="AC1:A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Parmis Education</dc:creator>
  <cp:lastModifiedBy>Tabatabaee Masoud</cp:lastModifiedBy>
  <cp:lastPrinted>2025-03-10T09:06:03Z</cp:lastPrinted>
  <dcterms:created xsi:type="dcterms:W3CDTF">2025-03-06T06:25:37Z</dcterms:created>
  <dcterms:modified xsi:type="dcterms:W3CDTF">2026-08-08T07:47:23Z</dcterms:modified>
</cp:coreProperties>
</file>